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7. Julio 2021\"/>
    </mc:Choice>
  </mc:AlternateContent>
  <bookViews>
    <workbookView xWindow="-120" yWindow="-120" windowWidth="20736" windowHeight="1116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81029"/>
</workbook>
</file>

<file path=xl/calcChain.xml><?xml version="1.0" encoding="utf-8"?>
<calcChain xmlns="http://schemas.openxmlformats.org/spreadsheetml/2006/main">
  <c r="P335" i="76" l="1"/>
  <c r="AK338" i="5"/>
  <c r="AK337" i="5"/>
  <c r="P334" i="76"/>
  <c r="AJ333" i="5"/>
  <c r="P333" i="76"/>
  <c r="AK336" i="5"/>
  <c r="AK335" i="5" l="1"/>
  <c r="P332" i="76"/>
  <c r="AK334" i="5"/>
  <c r="AK333" i="5"/>
  <c r="AK332" i="5"/>
  <c r="O330" i="76"/>
  <c r="O331" i="76" s="1"/>
  <c r="O332" i="76" s="1"/>
  <c r="O333" i="76" s="1"/>
  <c r="O334" i="76" s="1"/>
  <c r="O335" i="76" s="1"/>
  <c r="O336" i="76" s="1"/>
  <c r="O337" i="76" s="1"/>
  <c r="O338" i="76" s="1"/>
  <c r="O339" i="76" s="1"/>
  <c r="O340" i="76" s="1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31" i="76" l="1"/>
  <c r="P330" i="76"/>
  <c r="P329" i="76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P280" i="76" s="1"/>
  <c r="N278" i="76"/>
  <c r="P278" i="76" s="1"/>
  <c r="AI281" i="5"/>
  <c r="N277" i="76"/>
  <c r="AI280" i="5"/>
  <c r="AI282" i="5"/>
  <c r="AK283" i="5" s="1"/>
  <c r="AI283" i="5"/>
  <c r="N276" i="76"/>
  <c r="AI279" i="5"/>
  <c r="AK279" i="5" s="1"/>
  <c r="N275" i="76"/>
  <c r="P276" i="76" s="1"/>
  <c r="AI272" i="5"/>
  <c r="AI278" i="5"/>
  <c r="N274" i="76"/>
  <c r="AI277" i="5"/>
  <c r="AI276" i="5"/>
  <c r="N273" i="76"/>
  <c r="AI275" i="5"/>
  <c r="N272" i="76"/>
  <c r="P272" i="76" s="1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AK274" i="5" s="1"/>
  <c r="N269" i="76"/>
  <c r="S271" i="5"/>
  <c r="AI271" i="5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P265" i="76" s="1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AI266" i="5"/>
  <c r="N262" i="76"/>
  <c r="AI265" i="5"/>
  <c r="AK265" i="5" s="1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N259" i="76"/>
  <c r="AI262" i="5"/>
  <c r="AK262" i="5" s="1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K261" i="5" s="1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P256" i="76" s="1"/>
  <c r="N255" i="76"/>
  <c r="AI258" i="5"/>
  <c r="AI259" i="5"/>
  <c r="N254" i="76"/>
  <c r="S257" i="5"/>
  <c r="AI257" i="5" s="1"/>
  <c r="AK258" i="5" s="1"/>
  <c r="N253" i="76"/>
  <c r="S256" i="5"/>
  <c r="AI256" i="5" s="1"/>
  <c r="N251" i="76"/>
  <c r="N252" i="76"/>
  <c r="AI255" i="5"/>
  <c r="AI254" i="5"/>
  <c r="AK254" i="5" s="1"/>
  <c r="N250" i="76"/>
  <c r="P251" i="76" s="1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AI249" i="5" s="1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AI248" i="5" s="1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AI247" i="5" s="1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AI236" i="5" s="1"/>
  <c r="AK236" i="5" s="1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N216" i="76" s="1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AI10" i="5" s="1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I78" i="5" s="1"/>
  <c r="AC78" i="5"/>
  <c r="AA79" i="5"/>
  <c r="AC79" i="5"/>
  <c r="AI79" i="5" s="1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AI170" i="5" s="1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AI200" i="5" s="1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AI214" i="5" s="1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I217" i="5" s="1"/>
  <c r="AM217" i="5" s="1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AI219" i="5" s="1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AK230" i="5" s="1"/>
  <c r="S232" i="5"/>
  <c r="AI232" i="5" s="1"/>
  <c r="AK232" i="5" s="1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P259" i="76"/>
  <c r="P263" i="76"/>
  <c r="P266" i="76"/>
  <c r="AK275" i="5"/>
  <c r="Q226" i="76"/>
  <c r="AK255" i="5"/>
  <c r="P270" i="76"/>
  <c r="AK281" i="5"/>
  <c r="AK277" i="5"/>
  <c r="AK276" i="5"/>
  <c r="P281" i="76"/>
  <c r="AM229" i="5"/>
  <c r="AK229" i="5"/>
  <c r="P277" i="76"/>
  <c r="AI14" i="5"/>
  <c r="N183" i="76"/>
  <c r="AK280" i="5"/>
  <c r="AK264" i="5"/>
  <c r="N210" i="76"/>
  <c r="P210" i="76" s="1"/>
  <c r="AI243" i="5"/>
  <c r="P262" i="76"/>
  <c r="AK248" i="5" l="1"/>
  <c r="AK24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I246" i="5"/>
  <c r="AI250" i="5"/>
  <c r="AK250" i="5" s="1"/>
  <c r="AI252" i="5"/>
  <c r="AK253" i="5" s="1"/>
  <c r="P252" i="76"/>
  <c r="AK266" i="5"/>
  <c r="AK267" i="5"/>
  <c r="AI216" i="5"/>
  <c r="P226" i="76"/>
  <c r="AI238" i="5"/>
  <c r="AK238" i="5" s="1"/>
  <c r="AK263" i="5"/>
  <c r="AK269" i="5"/>
  <c r="AK242" i="5"/>
  <c r="AK257" i="5"/>
  <c r="AK256" i="5"/>
  <c r="AM227" i="5"/>
  <c r="AK228" i="5"/>
  <c r="AI12" i="5"/>
  <c r="N223" i="76"/>
  <c r="Q223" i="76" s="1"/>
  <c r="N186" i="76"/>
  <c r="N180" i="76"/>
  <c r="AK268" i="5"/>
  <c r="AM232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AK239" i="5" s="1"/>
  <c r="N236" i="76"/>
  <c r="P236" i="76" s="1"/>
  <c r="N239" i="76"/>
  <c r="N240" i="76"/>
  <c r="P258" i="76"/>
  <c r="P261" i="76"/>
  <c r="AK278" i="5"/>
  <c r="AK231" i="5"/>
  <c r="AI233" i="5"/>
  <c r="AI221" i="5"/>
  <c r="AK221" i="5" s="1"/>
  <c r="AI212" i="5"/>
  <c r="AI206" i="5"/>
  <c r="AI202" i="5"/>
  <c r="AI197" i="5"/>
  <c r="AI192" i="5"/>
  <c r="N207" i="76"/>
  <c r="N197" i="76"/>
  <c r="N192" i="76"/>
  <c r="N170" i="76"/>
  <c r="N167" i="76"/>
  <c r="N249" i="76"/>
  <c r="AK260" i="5"/>
  <c r="P268" i="76"/>
  <c r="AK273" i="5"/>
  <c r="AK243" i="5"/>
  <c r="AI195" i="5"/>
  <c r="AI165" i="5"/>
  <c r="AI159" i="5"/>
  <c r="AI17" i="5"/>
  <c r="AI11" i="5"/>
  <c r="N191" i="76"/>
  <c r="AI244" i="5"/>
  <c r="AK244" i="5" s="1"/>
  <c r="N244" i="76"/>
  <c r="AI251" i="5"/>
  <c r="AK251" i="5" s="1"/>
  <c r="P257" i="76"/>
  <c r="P250" i="76"/>
  <c r="P279" i="76"/>
  <c r="N217" i="76"/>
  <c r="N212" i="76"/>
  <c r="P213" i="76" s="1"/>
  <c r="N198" i="76"/>
  <c r="N179" i="76"/>
  <c r="N173" i="76"/>
  <c r="N168" i="76"/>
  <c r="N243" i="76"/>
  <c r="P244" i="76" s="1"/>
  <c r="P227" i="76"/>
  <c r="P229" i="76"/>
  <c r="N230" i="76"/>
  <c r="P230" i="76" s="1"/>
  <c r="N215" i="76"/>
  <c r="N181" i="76"/>
  <c r="N169" i="76"/>
  <c r="N246" i="76"/>
  <c r="N248" i="76"/>
  <c r="P249" i="76" s="1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45" i="76" s="1"/>
  <c r="P269" i="76"/>
  <c r="P271" i="76"/>
  <c r="AM219" i="5"/>
  <c r="AI213" i="5"/>
  <c r="AK214" i="5" s="1"/>
  <c r="AK220" i="5"/>
  <c r="AK217" i="5"/>
  <c r="AK233" i="5"/>
  <c r="P216" i="76"/>
  <c r="Q216" i="76"/>
  <c r="P207" i="76"/>
  <c r="P208" i="76"/>
  <c r="AK237" i="5"/>
  <c r="AI194" i="5"/>
  <c r="AI193" i="5"/>
  <c r="AI191" i="5"/>
  <c r="AI178" i="5"/>
  <c r="AI171" i="5"/>
  <c r="AI169" i="5"/>
  <c r="AI168" i="5"/>
  <c r="AI207" i="5"/>
  <c r="P240" i="76"/>
  <c r="AI13" i="5"/>
  <c r="N224" i="76"/>
  <c r="N219" i="76"/>
  <c r="N203" i="76"/>
  <c r="N202" i="76"/>
  <c r="N171" i="76"/>
  <c r="AI240" i="5"/>
  <c r="N237" i="76"/>
  <c r="P237" i="76" s="1"/>
  <c r="AI245" i="5"/>
  <c r="AK245" i="5" s="1"/>
  <c r="N242" i="76"/>
  <c r="P243" i="76" s="1"/>
  <c r="P275" i="76"/>
  <c r="P274" i="76"/>
  <c r="AK247" i="5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K215" i="5" s="1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41" i="76" s="1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P215" i="76" l="1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<sst xmlns="http://schemas.openxmlformats.org/spreadsheetml/2006/main" count="81" uniqueCount="70">
  <si>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</si>
  <si>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</si>
  <si>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</si>
  <si>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</si>
  <si>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</si>
  <si>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</si>
  <si>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</si>
  <si>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</si>
  <si>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</si>
  <si>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</si>
  <si>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</si>
  <si>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</si>
  <si>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</si>
  <si>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</si>
  <si>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</si>
  <si>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</si>
  <si>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</si>
  <si>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</si>
  <si>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</si>
  <si>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</si>
  <si>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</si>
  <si>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</si>
  <si>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</si>
  <si>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</si>
  <si>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</si>
  <si>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</si>
  <si>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</si>
  <si>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</si>
  <si>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</si>
  <si>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</si>
  <si>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</si>
  <si>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</si>
  <si>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</si>
  <si>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</si>
  <si>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</si>
  <si>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</si>
  <si>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</si>
  <si>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</si>
  <si>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</si>
  <si>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</si>
  <si>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</si>
  <si>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</si>
  <si>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</si>
  <si>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</si>
  <si>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</si>
  <si>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</si>
  <si>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</si>
  <si>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</si>
  <si>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</si>
  <si>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</si>
  <si>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</si>
  <si>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</si>
  <si>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</si>
  <si>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</si>
  <si>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</si>
  <si>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</si>
  <si>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</si>
  <si>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</si>
  <si>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</si>
  <si>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</si>
  <si>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</si>
  <si>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</si>
  <si>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</si>
  <si>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</si>
  <si>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</si>
  <si>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</si>
  <si>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</si>
  <si>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JULIO DEL 2021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</si>
  <si>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julio de 2021 fue de 118,549 Bpd; inferior en 3,032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</si>
  <si>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julio 2021 fue de 824 MMPCD; inferior en 244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</si>
</sst>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17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38"/>
              <c:layout>
                <c:manualLayout>
                  <c:x val="-1.3429440614781493E-16"/>
                  <c:y val="-1.25273388208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B5-47B2-B744-03974EB11B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'ESTRUCTURA oil (no)'!$C$200:$C$338</c:f>
              <c:numCache>
                <c:formatCode>0.00</c:formatCode>
                <c:ptCount val="139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</c:numCache>
            </c:numRef>
          </c:xVal>
          <c:yVal>
            <c:numRef>
              <c:f>'ESTRUCTURA oil (no)'!$AI$200:$AI$338</c:f>
              <c:numCache>
                <c:formatCode>#,##0</c:formatCode>
                <c:ptCount val="139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38"/>
              <c:layout>
                <c:manualLayout>
                  <c:x val="5.2250526847675102E-5"/>
                  <c:y val="1.3633489331244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B5-47B2-B744-03974EB11B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'ESTRUCTURA oil (no)'!$C$200:$C$338</c:f>
              <c:numCache>
                <c:formatCode>0.00</c:formatCode>
                <c:ptCount val="139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</c:numCache>
            </c:numRef>
          </c:xVal>
          <c:yVal>
            <c:numRef>
              <c:f>'ESTRUCTURA oil (no)'!$AJ$200:$AJ$338</c:f>
              <c:numCache>
                <c:formatCode>#,##0</c:formatCode>
                <c:ptCount val="139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115593</c:v>
                </c:pt>
                <c:pt idx="133">
                  <c:v>115593</c:v>
                </c:pt>
                <c:pt idx="134">
                  <c:v>115593</c:v>
                </c:pt>
                <c:pt idx="135">
                  <c:v>115593</c:v>
                </c:pt>
                <c:pt idx="136">
                  <c:v>115593</c:v>
                </c:pt>
                <c:pt idx="137">
                  <c:v>115593</c:v>
                </c:pt>
                <c:pt idx="138">
                  <c:v>115593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1.7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38"/>
              <c:layout>
                <c:manualLayout>
                  <c:x val="1.0902410548726049E-2"/>
                  <c:y val="9.22120955646460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FA-4DDB-9BD6-298177D637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'ESTRUCTURA gas (no)'!$B$197:$B$335</c:f>
              <c:numCache>
                <c:formatCode>0</c:formatCode>
                <c:ptCount val="139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</c:numCache>
            </c:numRef>
          </c:xVal>
          <c:yVal>
            <c:numRef>
              <c:f>'ESTRUCTURA gas (no)'!$N$197:$N$335</c:f>
              <c:numCache>
                <c:formatCode>#,##0</c:formatCode>
                <c:ptCount val="139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38"/>
              <c:layout>
                <c:manualLayout>
                  <c:x val="5.4512052743631578E-3"/>
                  <c:y val="-2.151615563175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FA-4DDB-9BD6-298177D637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'ESTRUCTURA gas (no)'!$B$197:$B$335</c:f>
              <c:numCache>
                <c:formatCode>0</c:formatCode>
                <c:ptCount val="139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</c:numCache>
            </c:numRef>
          </c:xVal>
          <c:yVal>
            <c:numRef>
              <c:f>'ESTRUCTURA gas (no)'!$O$197:$O$335</c:f>
              <c:numCache>
                <c:formatCode>#,##0</c:formatCode>
                <c:ptCount val="139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988221.3872</c:v>
                </c:pt>
                <c:pt idx="133">
                  <c:v>988221.3872</c:v>
                </c:pt>
                <c:pt idx="134">
                  <c:v>988221.3872</c:v>
                </c:pt>
                <c:pt idx="135">
                  <c:v>988221.3872</c:v>
                </c:pt>
                <c:pt idx="136">
                  <c:v>988221.3872</c:v>
                </c:pt>
                <c:pt idx="137">
                  <c:v>988221.3872</c:v>
                </c:pt>
                <c:pt idx="138">
                  <c:v>988221.3872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1.7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309791</xdr:colOff>
      <xdr:row>5</xdr:row>
      <xdr:rowOff>105743</xdr:rowOff>
    </xdr:from>
    <xdr:to>
      <xdr:col>12</xdr:col>
      <xdr:colOff>245918</xdr:colOff>
      <xdr:row>30</xdr:row>
      <xdr:rowOff>19570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264102</xdr:colOff>
      <xdr:row>51</xdr:row>
      <xdr:rowOff>77066</xdr:rowOff>
    </xdr:from>
    <xdr:to>
      <xdr:col>12</xdr:col>
      <xdr:colOff>254577</xdr:colOff>
      <xdr:row>76</xdr:row>
      <xdr:rowOff>67541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43"/>
  <sheetViews>
    <sheetView topLeftCell="A5" workbookViewId="0">
      <pane xSplit="4" ySplit="3" topLeftCell="E330" activePane="bottomRight" state="frozen"/>
      <selection activeCell="A5" sqref="A5"/>
      <selection pane="topRight" activeCell="E5" sqref="E5"/>
      <selection pane="bottomLeft" activeCell="A8" sqref="A8"/>
      <selection pane="bottomRight" activeCell="AJ338" sqref="AJ338"/>
    </sheetView>
  </sheetViews>
  <sheetFormatPr baseColWidth="10" defaultColWidth="11.44140625" defaultRowHeight="13.2" x14ac:dyDescent="0.25"/>
  <cols>
    <col min="1" max="1" width="2.88671875" style="135" customWidth="1"/>
    <col min="2" max="2" width="1.44140625" style="135" customWidth="1"/>
    <col min="3" max="3" width="9.33203125" style="181" customWidth="1"/>
    <col min="4" max="4" width="10.5546875" style="135" bestFit="1" customWidth="1"/>
    <col min="5" max="5" width="9" style="135" hidden="1" customWidth="1"/>
    <col min="6" max="6" width="10.109375" style="135" hidden="1" customWidth="1"/>
    <col min="7" max="7" width="11" style="135" hidden="1" customWidth="1"/>
    <col min="8" max="8" width="9.6640625" style="135" hidden="1" customWidth="1"/>
    <col min="9" max="9" width="11" style="135" hidden="1" customWidth="1"/>
    <col min="10" max="10" width="10.109375" style="135" hidden="1" customWidth="1"/>
    <col min="11" max="11" width="8.5546875" style="135" hidden="1" customWidth="1"/>
    <col min="12" max="12" width="12" style="135" hidden="1" customWidth="1"/>
    <col min="13" max="13" width="11.88671875" style="135" hidden="1" customWidth="1"/>
    <col min="14" max="14" width="10.5546875" style="135" hidden="1" customWidth="1"/>
    <col min="15" max="15" width="12" style="135" hidden="1" customWidth="1"/>
    <col min="16" max="16" width="10.109375" style="135" hidden="1" customWidth="1"/>
    <col min="17" max="17" width="8.5546875" style="135" hidden="1" customWidth="1"/>
    <col min="18" max="18" width="11" style="135" hidden="1" customWidth="1"/>
    <col min="19" max="20" width="12.44140625" style="135" hidden="1" customWidth="1"/>
    <col min="21" max="22" width="15.109375" style="135" hidden="1" customWidth="1"/>
    <col min="23" max="26" width="14" style="135" hidden="1" customWidth="1"/>
    <col min="27" max="27" width="12.33203125" style="135" hidden="1" customWidth="1"/>
    <col min="28" max="28" width="8.33203125" style="135" hidden="1" customWidth="1"/>
    <col min="29" max="34" width="10.109375" style="135" hidden="1" customWidth="1"/>
    <col min="35" max="35" width="11" style="135" customWidth="1"/>
    <col min="36" max="36" width="13.6640625" style="142" customWidth="1"/>
    <col min="37" max="37" width="11.44140625" style="138"/>
    <col min="38" max="16384" width="11.44140625" style="135"/>
  </cols>
  <sheetData>
    <row r="1" spans="1:36" hidden="1" x14ac:dyDescent="0.25"/>
    <row r="2" spans="1:36" hidden="1" x14ac:dyDescent="0.25"/>
    <row r="3" spans="1:36" hidden="1" x14ac:dyDescent="0.25"/>
    <row r="4" spans="1:36" hidden="1" x14ac:dyDescent="0.25"/>
    <row r="5" spans="1:36" x14ac:dyDescent="0.2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6.4" x14ac:dyDescent="0.2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5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5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5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5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5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5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5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5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5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5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5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5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5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8">
        <v>3869</v>
      </c>
      <c r="K85" s="29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5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8">
        <v>4034</v>
      </c>
      <c r="K86" s="29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5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8">
        <v>4285</v>
      </c>
      <c r="K87" s="29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8">
        <v>4266</v>
      </c>
      <c r="K88" s="29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8">
        <v>4352</v>
      </c>
      <c r="K89" s="29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5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03">
        <v>4271.2666666666664</v>
      </c>
      <c r="K90" s="303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5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98">
        <v>4265.2258064516127</v>
      </c>
      <c r="K91" s="29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5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98">
        <v>4113.322580645161</v>
      </c>
      <c r="K92" s="29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5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98">
        <v>4045.2142857142858</v>
      </c>
      <c r="K93" s="298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5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98">
        <v>3904.0645161290322</v>
      </c>
      <c r="K94" s="298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5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98">
        <v>4358.2</v>
      </c>
      <c r="K95" s="29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98">
        <v>4537.3870967741932</v>
      </c>
      <c r="K96" s="29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8">
        <v>4451</v>
      </c>
      <c r="K97" s="29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8">
        <v>4561</v>
      </c>
      <c r="K98" s="29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8">
        <v>4385</v>
      </c>
      <c r="K99" s="29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8">
        <v>4487</v>
      </c>
      <c r="K100" s="29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8">
        <v>4265</v>
      </c>
      <c r="K101" s="29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8">
        <v>4133</v>
      </c>
      <c r="K102" s="29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8">
        <v>3945</v>
      </c>
      <c r="K103" s="29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8">
        <v>3743</v>
      </c>
      <c r="K104" s="29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8">
        <v>3792</v>
      </c>
      <c r="K105" s="29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8">
        <v>3462</v>
      </c>
      <c r="K106" s="29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5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8">
        <v>3441</v>
      </c>
      <c r="K107" s="29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8">
        <v>3531</v>
      </c>
      <c r="K108" s="29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8">
        <v>3546</v>
      </c>
      <c r="K109" s="29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5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8">
        <v>3405</v>
      </c>
      <c r="K110" s="29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8">
        <v>3341</v>
      </c>
      <c r="K111" s="29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8">
        <v>3357</v>
      </c>
      <c r="K112" s="29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8">
        <v>3346</v>
      </c>
      <c r="K113" s="29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8">
        <v>3341</v>
      </c>
      <c r="K114" s="29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8">
        <v>3291</v>
      </c>
      <c r="K115" s="29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8">
        <v>3103</v>
      </c>
      <c r="K116" s="29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8">
        <v>3002</v>
      </c>
      <c r="K117" s="29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8">
        <v>2920</v>
      </c>
      <c r="K118" s="29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8">
        <v>3023</v>
      </c>
      <c r="K119" s="29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8">
        <v>3080</v>
      </c>
      <c r="K120" s="29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8">
        <v>3168</v>
      </c>
      <c r="K121" s="29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8">
        <v>3369</v>
      </c>
      <c r="K122" s="29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8">
        <v>3462</v>
      </c>
      <c r="K123" s="29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8">
        <v>3406</v>
      </c>
      <c r="K124" s="29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8">
        <v>3500</v>
      </c>
      <c r="K125" s="29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8">
        <v>3472</v>
      </c>
      <c r="K126" s="29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5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8">
        <v>4015</v>
      </c>
      <c r="K127" s="29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8">
        <v>3622</v>
      </c>
      <c r="K128" s="29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8">
        <v>3604</v>
      </c>
      <c r="K129" s="29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5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8">
        <v>3645</v>
      </c>
      <c r="K130" s="29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5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98">
        <v>3604.5</v>
      </c>
      <c r="K131" s="298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5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98">
        <v>3630</v>
      </c>
      <c r="K132" s="298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5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98">
        <v>3661.0666666666666</v>
      </c>
      <c r="K133" s="29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5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98">
        <v>3662.0322580645161</v>
      </c>
      <c r="K134" s="298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5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98">
        <v>3615.6451612903224</v>
      </c>
      <c r="K135" s="298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5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98">
        <v>3657.0333333333333</v>
      </c>
      <c r="K136" s="29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5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98">
        <v>3615.483870967742</v>
      </c>
      <c r="K137" s="298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5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98">
        <v>3553.5666666666666</v>
      </c>
      <c r="K138" s="29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5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98">
        <v>3515</v>
      </c>
      <c r="K139" s="29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5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98">
        <v>3414</v>
      </c>
      <c r="K140" s="29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5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98">
        <v>3357</v>
      </c>
      <c r="K141" s="29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5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98">
        <v>3434.3225806451615</v>
      </c>
      <c r="K142" s="298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8">
        <v>3363</v>
      </c>
      <c r="K143" s="29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8">
        <v>3416</v>
      </c>
      <c r="K144" s="29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8">
        <v>3386</v>
      </c>
      <c r="K145" s="29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8">
        <v>3353</v>
      </c>
      <c r="K146" s="29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5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8">
        <v>3355</v>
      </c>
      <c r="K147" s="29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8">
        <v>3402</v>
      </c>
      <c r="K148" s="29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8">
        <v>3320</v>
      </c>
      <c r="K149" s="29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5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8">
        <v>3087</v>
      </c>
      <c r="K150" s="302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5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8">
        <v>3053</v>
      </c>
      <c r="K151" s="302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5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98">
        <v>3163.19</v>
      </c>
      <c r="K152" s="298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02">
        <v>3199</v>
      </c>
      <c r="K153" s="302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02">
        <v>3167</v>
      </c>
      <c r="K154" s="302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02">
        <v>3182</v>
      </c>
      <c r="K155" s="302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8">
        <v>3146</v>
      </c>
      <c r="K156" s="29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8">
        <v>3103</v>
      </c>
      <c r="K157" s="29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5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98">
        <v>3059.6451612903224</v>
      </c>
      <c r="K158" s="29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5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01">
        <f>93766/31</f>
        <v>3024.7096774193546</v>
      </c>
      <c r="K159" s="301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02">
        <v>2984</v>
      </c>
      <c r="K160" s="302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8">
        <v>3008</v>
      </c>
      <c r="K161" s="29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02">
        <v>2909</v>
      </c>
      <c r="K162" s="302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8">
        <v>2685</v>
      </c>
      <c r="K163" s="29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02">
        <v>2853</v>
      </c>
      <c r="K164" s="302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5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98">
        <f>80304/28</f>
        <v>2868</v>
      </c>
      <c r="K165" s="29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8">
        <v>2812</v>
      </c>
      <c r="K166" s="29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5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01">
        <f>90267/30</f>
        <v>3008.9</v>
      </c>
      <c r="K167" s="301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5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01">
        <f>91935/31</f>
        <v>2965.6451612903224</v>
      </c>
      <c r="K168" s="301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01">
        <f>87309/30</f>
        <v>2910.3</v>
      </c>
      <c r="K169" s="301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5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01">
        <f>90019/31</f>
        <v>2903.8387096774195</v>
      </c>
      <c r="K170" s="301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5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01">
        <f>89184/31</f>
        <v>2876.9032258064517</v>
      </c>
      <c r="K171" s="301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5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01">
        <f>86428/30</f>
        <v>2880.9333333333334</v>
      </c>
      <c r="K172" s="301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01">
        <f>87919/31</f>
        <v>2836.0967741935483</v>
      </c>
      <c r="K173" s="301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01">
        <f>84130/30</f>
        <v>2804.3333333333335</v>
      </c>
      <c r="K174" s="301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01">
        <f>82208/31</f>
        <v>2651.8709677419356</v>
      </c>
      <c r="K175" s="301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5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01">
        <f>86419/31</f>
        <v>2787.7096774193546</v>
      </c>
      <c r="K176" s="301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5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01">
        <f>74593/29</f>
        <v>2572.1724137931033</v>
      </c>
      <c r="K177" s="301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5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8">
        <f>85577/31</f>
        <v>2760.5483870967741</v>
      </c>
      <c r="K178" s="298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98">
        <f>82758/30</f>
        <v>2758.6</v>
      </c>
      <c r="K179" s="29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01">
        <f>85851/31</f>
        <v>2769.3870967741937</v>
      </c>
      <c r="K180" s="301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01">
        <f>87560/30</f>
        <v>2918.6666666666665</v>
      </c>
      <c r="K181" s="301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5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01">
        <f>88738/31</f>
        <v>2862.516129032258</v>
      </c>
      <c r="K182" s="301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5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98">
        <f>88926/31</f>
        <v>2868.5806451612902</v>
      </c>
      <c r="K183" s="298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98">
        <f>86401/30</f>
        <v>2880.0333333333333</v>
      </c>
      <c r="K184" s="298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8">
        <v>2812</v>
      </c>
      <c r="K185" s="29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98">
        <f>80326/30</f>
        <v>2677.5333333333333</v>
      </c>
      <c r="K186" s="298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5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98">
        <f>79547/31</f>
        <v>2566.0322580645161</v>
      </c>
      <c r="K187" s="29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5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98">
        <f>84836/31</f>
        <v>2736.6451612903224</v>
      </c>
      <c r="K188" s="29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5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98">
        <f>77894/28</f>
        <v>2781.9285714285716</v>
      </c>
      <c r="K189" s="29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5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98">
        <f>85996/31</f>
        <v>2774.0645161290322</v>
      </c>
      <c r="K190" s="29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5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98">
        <f>79835/30</f>
        <v>2661.1666666666665</v>
      </c>
      <c r="K191" s="298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5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98">
        <f>85955/31</f>
        <v>2772.7419354838707</v>
      </c>
      <c r="K192" s="298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98">
        <f>83911/30</f>
        <v>2797.0333333333333</v>
      </c>
      <c r="K193" s="298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5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8">
        <f>84624/31</f>
        <v>2729.8064516129034</v>
      </c>
      <c r="K194" s="298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5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8">
        <f>90419/31</f>
        <v>2916.7419354838707</v>
      </c>
      <c r="K195" s="298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5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98">
        <f>90750/30</f>
        <v>3025</v>
      </c>
      <c r="K196" s="29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5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98">
        <f>107300/31</f>
        <v>3461.2903225806454</v>
      </c>
      <c r="K197" s="298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5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8">
        <f>108534/30</f>
        <v>3617.8</v>
      </c>
      <c r="K198" s="29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5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98">
        <f>103950/31</f>
        <v>3353.2258064516127</v>
      </c>
      <c r="K199" s="29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5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98">
        <f>120268/31</f>
        <v>3879.6129032258063</v>
      </c>
      <c r="K200" s="29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5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8">
        <f>93325/28</f>
        <v>3333.0357142857142</v>
      </c>
      <c r="K201" s="29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5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98">
        <f>109834/31</f>
        <v>3543.0322580645161</v>
      </c>
      <c r="K202" s="29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5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98">
        <f>110030/30</f>
        <v>3667.6666666666665</v>
      </c>
      <c r="K203" s="29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5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98">
        <f>97085/31</f>
        <v>3131.7741935483873</v>
      </c>
      <c r="K204" s="29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98">
        <f>106530/30</f>
        <v>3551</v>
      </c>
      <c r="K205" s="29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5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298">
        <f>91473/31</f>
        <v>2950.7419354838707</v>
      </c>
      <c r="K206" s="29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5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298">
        <f>81817/31</f>
        <v>2639.2580645161293</v>
      </c>
      <c r="K207" s="29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5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298">
        <f>80223/30</f>
        <v>2674.1</v>
      </c>
      <c r="K208" s="298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8">
        <f>87966/31</f>
        <v>2837.6129032258063</v>
      </c>
      <c r="K209" s="29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298">
        <f>87026/30</f>
        <v>2900.8666666666668</v>
      </c>
      <c r="K210" s="298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5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8">
        <v>2743</v>
      </c>
      <c r="K211" s="29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5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98">
        <f>84980/31</f>
        <v>2741.2903225806454</v>
      </c>
      <c r="K212" s="29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5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98">
        <f>81774/28</f>
        <v>2920.5</v>
      </c>
      <c r="K213" s="298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98">
        <f>87762/31</f>
        <v>2831.0322580645161</v>
      </c>
      <c r="K214" s="29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8">
        <f>82573/30</f>
        <v>2752.4333333333334</v>
      </c>
      <c r="K215" s="298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8">
        <v>2798</v>
      </c>
      <c r="K216" s="29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8">
        <f>88734/30</f>
        <v>2957.8</v>
      </c>
      <c r="K217" s="29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98">
        <f>94911/31</f>
        <v>3061.6451612903224</v>
      </c>
      <c r="K218" s="298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5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98">
        <f>97382/31</f>
        <v>3141.3548387096776</v>
      </c>
      <c r="K219" s="298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98">
        <f>97457/30</f>
        <v>3248.5666666666666</v>
      </c>
      <c r="K220" s="29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5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8">
        <f>99680/31</f>
        <v>3215.483870967742</v>
      </c>
      <c r="K221" s="29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98">
        <f>104127/30</f>
        <v>3470.9</v>
      </c>
      <c r="K222" s="298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8" thickBot="1" x14ac:dyDescent="0.3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299">
        <v>3436</v>
      </c>
      <c r="K223" s="29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5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00">
        <v>3291.6451612903202</v>
      </c>
      <c r="K224" s="300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98">
        <f>83102/29</f>
        <v>2865.5862068965516</v>
      </c>
      <c r="K225" s="29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8">
        <f>99764/31</f>
        <v>3218.1935483870966</v>
      </c>
      <c r="K226" s="29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98">
        <v>3018.4333333333334</v>
      </c>
      <c r="K227" s="29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5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98">
        <v>3254.4193548387102</v>
      </c>
      <c r="K228" s="298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8">
        <v>3280.2</v>
      </c>
      <c r="K229" s="298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98">
        <v>3272.1612903225805</v>
      </c>
      <c r="K230" s="298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5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98">
        <v>3518.0322580645202</v>
      </c>
      <c r="K231" s="29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5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8">
        <v>3496</v>
      </c>
      <c r="K232" s="29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5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98">
        <f>113288/31</f>
        <v>3654.4516129032259</v>
      </c>
      <c r="K233" s="29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8">
        <v>3587</v>
      </c>
      <c r="K234" s="29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299">
        <v>3640.741935</v>
      </c>
      <c r="K235" s="29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99">
        <f>104345/31</f>
        <v>3365.9677419354839</v>
      </c>
      <c r="K236" s="299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99">
        <f>98920/28</f>
        <v>3532.8571428571427</v>
      </c>
      <c r="K237" s="29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9">
        <f>93904/31</f>
        <v>3029.1612903225805</v>
      </c>
      <c r="K238" s="299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294">
        <f>95861/30</f>
        <v>3195.3666666666668</v>
      </c>
      <c r="K239" s="295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5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294">
        <f>109894/31</f>
        <v>3544.9677419354839</v>
      </c>
      <c r="K240" s="295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294">
        <f>92416/30</f>
        <v>3080.5333333333333</v>
      </c>
      <c r="K241" s="295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294">
        <f>112945/31</f>
        <v>3643.3870967741937</v>
      </c>
      <c r="K242" s="295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294">
        <f>115529/31</f>
        <v>3726.7419354838707</v>
      </c>
      <c r="K243" s="295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4">
        <f>111777/30</f>
        <v>3725.9</v>
      </c>
      <c r="K244" s="295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294">
        <f>110419/31</f>
        <v>3561.9032258064517</v>
      </c>
      <c r="K245" s="295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4">
        <f>105792/30</f>
        <v>3526.4</v>
      </c>
      <c r="K246" s="295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294">
        <f>110534/31</f>
        <v>3565.6129032258063</v>
      </c>
      <c r="K247" s="295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5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296">
        <f>110291/31</f>
        <v>3557.7741935483873</v>
      </c>
      <c r="K248" s="29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5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296">
        <f>101369/28</f>
        <v>3620.3214285714284</v>
      </c>
      <c r="K249" s="297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296">
        <f>112963/31</f>
        <v>3643.9677419354839</v>
      </c>
      <c r="K250" s="29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96">
        <f>108338/30</f>
        <v>3611.2666666666669</v>
      </c>
      <c r="K251" s="29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5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296">
        <f>109035/31</f>
        <v>3517.2580645161293</v>
      </c>
      <c r="K252" s="29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96">
        <v>3547</v>
      </c>
      <c r="K253" s="29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296">
        <v>3668.6129032258063</v>
      </c>
      <c r="K254" s="29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296">
        <v>3622.1612903225805</v>
      </c>
      <c r="K255" s="29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96">
        <v>3566</v>
      </c>
      <c r="K256" s="29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96">
        <v>3564</v>
      </c>
      <c r="K257" s="29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296">
        <v>3483.9666666666667</v>
      </c>
      <c r="K258" s="29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5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308">
        <v>3553.4516129032259</v>
      </c>
      <c r="K259" s="309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04">
        <v>3458.1612903225805</v>
      </c>
      <c r="K260" s="305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04">
        <v>3550.9285714285716</v>
      </c>
      <c r="K261" s="305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5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04">
        <v>3401.6451612903224</v>
      </c>
      <c r="K262" s="305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04">
        <v>3415.6666666666665</v>
      </c>
      <c r="K263" s="30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5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04">
        <v>3440.9677419354839</v>
      </c>
      <c r="K264" s="30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04">
        <v>3394.3</v>
      </c>
      <c r="K265" s="30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5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04">
        <v>3407.0645161290322</v>
      </c>
      <c r="K266" s="30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04">
        <v>3457.1290322580599</v>
      </c>
      <c r="K267" s="305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04">
        <v>3365.7666666666701</v>
      </c>
      <c r="K268" s="30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5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04">
        <v>3472.9677419354839</v>
      </c>
      <c r="K269" s="30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04">
        <v>3349.4</v>
      </c>
      <c r="K270" s="30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04">
        <v>3288.8709677419356</v>
      </c>
      <c r="K271" s="30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5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306">
        <v>3243.3225806451601</v>
      </c>
      <c r="K272" s="307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306">
        <v>3242.8965517241381</v>
      </c>
      <c r="K273" s="307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306">
        <v>2940.9032258064499</v>
      </c>
      <c r="K274" s="307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306">
        <v>3179.3333333333298</v>
      </c>
      <c r="K275" s="307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306">
        <v>3165.16129032258</v>
      </c>
      <c r="K276" s="307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306">
        <v>3254.8666666666668</v>
      </c>
      <c r="K277" s="307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306">
        <v>3235.8387096774195</v>
      </c>
      <c r="K278" s="307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5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5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5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5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5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5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5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5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5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5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5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5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5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5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5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5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5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5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5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5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5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5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5">
      <c r="C332" s="290">
        <f t="shared" ref="C332:C343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115593</v>
      </c>
      <c r="AK332" s="291">
        <f t="shared" ref="AK332:AK336" si="53">+AI332-AI331</f>
        <v>-2079</v>
      </c>
    </row>
    <row r="333" spans="3:38" x14ac:dyDescent="0.25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115593</v>
      </c>
      <c r="AK333" s="291">
        <f t="shared" si="53"/>
        <v>-58</v>
      </c>
    </row>
    <row r="334" spans="3:38" x14ac:dyDescent="0.25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115593</v>
      </c>
      <c r="AK334" s="291">
        <f t="shared" si="53"/>
        <v>-18557</v>
      </c>
    </row>
    <row r="335" spans="3:38" x14ac:dyDescent="0.25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115593</v>
      </c>
      <c r="AK335" s="291">
        <f t="shared" si="53"/>
        <v>3005</v>
      </c>
    </row>
    <row r="336" spans="3:38" x14ac:dyDescent="0.25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6">
        <v>121522</v>
      </c>
      <c r="AJ336" s="293">
        <f t="shared" ref="AJ336:AJ343" si="54">+AJ335</f>
        <v>115593</v>
      </c>
      <c r="AK336" s="291">
        <f t="shared" si="53"/>
        <v>16607</v>
      </c>
    </row>
    <row r="337" spans="3:37" x14ac:dyDescent="0.25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6">
        <v>121581</v>
      </c>
      <c r="AJ337" s="293">
        <f t="shared" si="54"/>
        <v>115593</v>
      </c>
      <c r="AK337" s="291">
        <f>+AI337-AI336</f>
        <v>59</v>
      </c>
    </row>
    <row r="338" spans="3:37" x14ac:dyDescent="0.25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6">
        <v>118549</v>
      </c>
      <c r="AJ338" s="293">
        <f t="shared" si="54"/>
        <v>115593</v>
      </c>
      <c r="AK338" s="291">
        <f>+AI338-AI337</f>
        <v>-3032</v>
      </c>
    </row>
    <row r="339" spans="3:37" x14ac:dyDescent="0.25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5"/>
      <c r="AJ339" s="293">
        <f t="shared" si="54"/>
        <v>115593</v>
      </c>
      <c r="AK339" s="291"/>
    </row>
    <row r="340" spans="3:37" x14ac:dyDescent="0.25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5"/>
      <c r="AJ340" s="293">
        <f t="shared" si="54"/>
        <v>115593</v>
      </c>
      <c r="AK340" s="291"/>
    </row>
    <row r="341" spans="3:37" x14ac:dyDescent="0.25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5"/>
      <c r="AJ341" s="293">
        <f t="shared" si="54"/>
        <v>115593</v>
      </c>
      <c r="AK341" s="291"/>
    </row>
    <row r="342" spans="3:37" x14ac:dyDescent="0.25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  <c r="AJ342" s="293">
        <f t="shared" si="54"/>
        <v>115593</v>
      </c>
      <c r="AK342" s="291"/>
    </row>
    <row r="343" spans="3:37" x14ac:dyDescent="0.25">
      <c r="C343" s="290">
        <f t="shared" si="52"/>
        <v>2021.9999888000166</v>
      </c>
      <c r="D343" s="284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  <c r="AJ343" s="293">
        <f t="shared" si="54"/>
        <v>115593</v>
      </c>
      <c r="AK343" s="291"/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U497"/>
  <sheetViews>
    <sheetView workbookViewId="0">
      <pane xSplit="3" ySplit="4" topLeftCell="N322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O335" sqref="O335"/>
    </sheetView>
  </sheetViews>
  <sheetFormatPr baseColWidth="10" defaultRowHeight="13.2" x14ac:dyDescent="0.25"/>
  <cols>
    <col min="1" max="1" width="2.109375" customWidth="1"/>
    <col min="2" max="2" width="8.44140625" style="5" customWidth="1"/>
    <col min="4" max="4" width="11.33203125" style="31" hidden="1" customWidth="1"/>
    <col min="5" max="5" width="14.6640625" style="8" hidden="1" customWidth="1"/>
    <col min="6" max="6" width="9.109375" style="8" hidden="1" customWidth="1"/>
    <col min="7" max="7" width="11.5546875" hidden="1" customWidth="1"/>
    <col min="8" max="8" width="12.33203125" hidden="1" customWidth="1"/>
    <col min="9" max="9" width="14.88671875" hidden="1" customWidth="1"/>
    <col min="10" max="10" width="14.44140625" hidden="1" customWidth="1"/>
    <col min="11" max="12" width="15" hidden="1" customWidth="1"/>
    <col min="13" max="13" width="10.44140625" hidden="1" customWidth="1"/>
    <col min="14" max="14" width="20.109375" customWidth="1"/>
    <col min="15" max="15" width="17.5546875" customWidth="1"/>
    <col min="16" max="16" width="14.6640625" bestFit="1" customWidth="1"/>
    <col min="17" max="17" width="15.5546875" bestFit="1" customWidth="1"/>
    <col min="30" max="30" width="14.88671875" customWidth="1"/>
    <col min="31" max="31" width="4.33203125" customWidth="1"/>
    <col min="33" max="33" width="15.44140625" customWidth="1"/>
    <col min="34" max="34" width="13.33203125" customWidth="1"/>
    <col min="35" max="35" width="10.5546875" customWidth="1"/>
    <col min="36" max="36" width="11.109375" customWidth="1"/>
  </cols>
  <sheetData>
    <row r="4" spans="2:36" ht="26.4" x14ac:dyDescent="0.2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10" t="s">
        <v>31</v>
      </c>
      <c r="AG11" s="310"/>
      <c r="AH11" s="310"/>
      <c r="AI11" s="310"/>
      <c r="AJ11" s="310"/>
    </row>
    <row r="12" spans="2:36" x14ac:dyDescent="0.2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10" t="s">
        <v>32</v>
      </c>
      <c r="AG12" s="310"/>
      <c r="AH12" s="310"/>
      <c r="AI12" s="310"/>
      <c r="AJ12" s="310"/>
    </row>
    <row r="13" spans="2:36" x14ac:dyDescent="0.2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10" t="s">
        <v>33</v>
      </c>
      <c r="AG13" s="310"/>
      <c r="AH13" s="310"/>
      <c r="AI13" s="310"/>
      <c r="AJ13" s="310"/>
    </row>
    <row r="14" spans="2:36" x14ac:dyDescent="0.2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8" thickBot="1" x14ac:dyDescent="0.3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6" x14ac:dyDescent="0.3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6" x14ac:dyDescent="0.3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6" x14ac:dyDescent="0.3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6" x14ac:dyDescent="0.3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6" x14ac:dyDescent="0.3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6" x14ac:dyDescent="0.3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6" x14ac:dyDescent="0.3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6" x14ac:dyDescent="0.3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6" x14ac:dyDescent="0.3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6" x14ac:dyDescent="0.3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6" x14ac:dyDescent="0.3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2" thickBot="1" x14ac:dyDescent="0.35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6" x14ac:dyDescent="0.3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6" x14ac:dyDescent="0.3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6" x14ac:dyDescent="0.3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6" x14ac:dyDescent="0.3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8" thickBot="1" x14ac:dyDescent="0.3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5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5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8" thickBot="1" x14ac:dyDescent="0.3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5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8" thickBot="1" x14ac:dyDescent="0.3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5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5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8" thickBot="1" x14ac:dyDescent="0.3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5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5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5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5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5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5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5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5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5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5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5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5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5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5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5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5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5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5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5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5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5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5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5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5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5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5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5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5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5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5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5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5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5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5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5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5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5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5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5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5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5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5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5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5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5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5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5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5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5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5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5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5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5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5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5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5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5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5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5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5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5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5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5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5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5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5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5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5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5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5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5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5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5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5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5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5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5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5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5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5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5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5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5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5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5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5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5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5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5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8" thickBot="1" x14ac:dyDescent="0.3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5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5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5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5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5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5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5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5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5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5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5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5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5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5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5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5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5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5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5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5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5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5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5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5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5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5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5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5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5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5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5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5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5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5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5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5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5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5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5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5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5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5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5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5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5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5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5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5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5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5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5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5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5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5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5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5">
      <c r="B329" s="287">
        <f t="shared" ref="B329:B340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988221.3872</v>
      </c>
      <c r="P329" s="292">
        <f t="shared" ref="P329:P335" si="33">+N329-N328</f>
        <v>-211483.79110000003</v>
      </c>
    </row>
    <row r="330" spans="2:18" x14ac:dyDescent="0.25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f>+O329</f>
        <v>988221.3872</v>
      </c>
      <c r="P330" s="292">
        <f t="shared" si="33"/>
        <v>22258.022600000026</v>
      </c>
      <c r="R330" s="289"/>
    </row>
    <row r="331" spans="2:18" x14ac:dyDescent="0.25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f>+O330</f>
        <v>988221.3872</v>
      </c>
      <c r="P331" s="292">
        <f t="shared" si="33"/>
        <v>-104545.14190000016</v>
      </c>
    </row>
    <row r="332" spans="2:18" x14ac:dyDescent="0.25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f>+O331</f>
        <v>988221.3872</v>
      </c>
      <c r="P332" s="292">
        <f t="shared" si="33"/>
        <v>-196470.51909999992</v>
      </c>
    </row>
    <row r="333" spans="2:18" x14ac:dyDescent="0.25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93">
        <v>780865.31420000002</v>
      </c>
      <c r="O333" s="293">
        <f t="shared" ref="O333:O340" si="34">+O332</f>
        <v>988221.3872</v>
      </c>
      <c r="P333" s="292">
        <f t="shared" si="33"/>
        <v>-90408.757899999968</v>
      </c>
    </row>
    <row r="334" spans="2:18" x14ac:dyDescent="0.25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93">
        <v>1068128.4027199999</v>
      </c>
      <c r="O334" s="293">
        <f t="shared" si="34"/>
        <v>988221.3872</v>
      </c>
      <c r="P334" s="292">
        <f t="shared" si="33"/>
        <v>287263.08851999987</v>
      </c>
    </row>
    <row r="335" spans="2:18" x14ac:dyDescent="0.25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93">
        <v>823834.10470000003</v>
      </c>
      <c r="O335" s="293">
        <f t="shared" si="34"/>
        <v>988221.3872</v>
      </c>
      <c r="P335" s="292">
        <f t="shared" si="33"/>
        <v>-244294.29801999987</v>
      </c>
    </row>
    <row r="336" spans="2:18" x14ac:dyDescent="0.25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93">
        <f t="shared" si="34"/>
        <v>988221.3872</v>
      </c>
      <c r="P336" s="285"/>
    </row>
    <row r="337" spans="2:16" x14ac:dyDescent="0.25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93">
        <f t="shared" si="34"/>
        <v>988221.3872</v>
      </c>
      <c r="P337" s="285"/>
    </row>
    <row r="338" spans="2:16" x14ac:dyDescent="0.25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93">
        <f t="shared" si="34"/>
        <v>988221.3872</v>
      </c>
      <c r="P338" s="285"/>
    </row>
    <row r="339" spans="2:16" x14ac:dyDescent="0.25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93">
        <f t="shared" si="34"/>
        <v>988221.3872</v>
      </c>
      <c r="P339" s="285"/>
    </row>
    <row r="340" spans="2:16" x14ac:dyDescent="0.25">
      <c r="B340" s="287">
        <f t="shared" si="32"/>
        <v>2021.9999888000148</v>
      </c>
      <c r="C340" s="288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93">
        <f t="shared" si="34"/>
        <v>988221.3872</v>
      </c>
      <c r="P340" s="285"/>
    </row>
    <row r="341" spans="2:16" x14ac:dyDescent="0.25">
      <c r="B341"/>
      <c r="D341"/>
      <c r="E341" s="20"/>
      <c r="F341" s="20"/>
    </row>
    <row r="342" spans="2:16" x14ac:dyDescent="0.25">
      <c r="B342"/>
      <c r="D342"/>
      <c r="E342" s="20"/>
      <c r="F342" s="20"/>
    </row>
    <row r="343" spans="2:16" x14ac:dyDescent="0.25">
      <c r="B343"/>
      <c r="D343"/>
      <c r="E343" s="20"/>
      <c r="F343" s="20"/>
    </row>
    <row r="344" spans="2:16" x14ac:dyDescent="0.25">
      <c r="B344"/>
      <c r="D344"/>
      <c r="E344" s="20"/>
      <c r="F344" s="20"/>
    </row>
    <row r="345" spans="2:16" x14ac:dyDescent="0.25">
      <c r="B345"/>
      <c r="D345"/>
      <c r="E345" s="20"/>
      <c r="F345" s="20"/>
    </row>
    <row r="346" spans="2:16" x14ac:dyDescent="0.25">
      <c r="B346"/>
      <c r="D346"/>
      <c r="E346" s="20"/>
      <c r="F346" s="20"/>
    </row>
    <row r="347" spans="2:16" x14ac:dyDescent="0.25">
      <c r="B347"/>
      <c r="D347"/>
      <c r="E347" s="20"/>
      <c r="F347" s="20"/>
    </row>
    <row r="348" spans="2:16" x14ac:dyDescent="0.25">
      <c r="B348"/>
      <c r="D348"/>
      <c r="E348" s="20"/>
      <c r="F348" s="20"/>
    </row>
    <row r="349" spans="2:16" x14ac:dyDescent="0.25">
      <c r="B349"/>
      <c r="D349"/>
      <c r="E349" s="20"/>
      <c r="F349" s="20"/>
    </row>
    <row r="350" spans="2:16" x14ac:dyDescent="0.25">
      <c r="B350"/>
      <c r="D350"/>
      <c r="E350" s="20"/>
      <c r="F350" s="20"/>
    </row>
    <row r="351" spans="2:16" x14ac:dyDescent="0.25">
      <c r="B351"/>
      <c r="D351"/>
      <c r="E351" s="20"/>
      <c r="F351" s="20"/>
    </row>
    <row r="352" spans="2:16" x14ac:dyDescent="0.25">
      <c r="B352"/>
      <c r="D352"/>
      <c r="E352" s="20"/>
      <c r="F352" s="20"/>
    </row>
    <row r="353" spans="2:6" x14ac:dyDescent="0.25">
      <c r="B353"/>
      <c r="D353"/>
      <c r="E353" s="20"/>
      <c r="F353" s="20"/>
    </row>
    <row r="354" spans="2:6" x14ac:dyDescent="0.25">
      <c r="B354"/>
      <c r="D354"/>
      <c r="E354" s="20"/>
      <c r="F354" s="20"/>
    </row>
    <row r="355" spans="2:6" x14ac:dyDescent="0.25">
      <c r="B355"/>
      <c r="D355"/>
      <c r="E355" s="20"/>
      <c r="F355" s="20"/>
    </row>
    <row r="356" spans="2:6" x14ac:dyDescent="0.25">
      <c r="B356"/>
      <c r="D356"/>
      <c r="E356" s="20"/>
      <c r="F356" s="20"/>
    </row>
    <row r="357" spans="2:6" x14ac:dyDescent="0.25">
      <c r="B357"/>
      <c r="D357"/>
      <c r="E357" s="20"/>
      <c r="F357" s="20"/>
    </row>
    <row r="358" spans="2:6" x14ac:dyDescent="0.25">
      <c r="B358"/>
      <c r="D358"/>
      <c r="E358" s="20"/>
      <c r="F358" s="20"/>
    </row>
    <row r="359" spans="2:6" x14ac:dyDescent="0.25">
      <c r="B359"/>
      <c r="D359"/>
      <c r="E359" s="20"/>
      <c r="F359" s="20"/>
    </row>
    <row r="360" spans="2:6" x14ac:dyDescent="0.25">
      <c r="B360"/>
      <c r="D360"/>
      <c r="E360" s="20"/>
      <c r="F360" s="20"/>
    </row>
    <row r="361" spans="2:6" x14ac:dyDescent="0.25">
      <c r="B361"/>
      <c r="D361"/>
      <c r="E361" s="20"/>
      <c r="F361" s="20"/>
    </row>
    <row r="362" spans="2:6" x14ac:dyDescent="0.25">
      <c r="B362"/>
      <c r="D362"/>
      <c r="E362" s="20"/>
      <c r="F362" s="20"/>
    </row>
    <row r="363" spans="2:6" x14ac:dyDescent="0.25">
      <c r="B363"/>
      <c r="D363"/>
      <c r="E363" s="20"/>
      <c r="F363" s="20"/>
    </row>
    <row r="364" spans="2:6" x14ac:dyDescent="0.25">
      <c r="B364"/>
      <c r="D364"/>
      <c r="E364" s="20"/>
      <c r="F364" s="20"/>
    </row>
    <row r="365" spans="2:6" x14ac:dyDescent="0.25">
      <c r="B365"/>
      <c r="D365"/>
      <c r="E365" s="20"/>
      <c r="F365" s="20"/>
    </row>
    <row r="366" spans="2:6" x14ac:dyDescent="0.25">
      <c r="B366"/>
      <c r="D366"/>
      <c r="E366" s="20"/>
      <c r="F366" s="20"/>
    </row>
    <row r="367" spans="2:6" x14ac:dyDescent="0.25">
      <c r="B367"/>
      <c r="D367"/>
      <c r="E367" s="20"/>
      <c r="F367" s="20"/>
    </row>
    <row r="368" spans="2:6" x14ac:dyDescent="0.25">
      <c r="B368"/>
      <c r="D368"/>
      <c r="E368" s="20"/>
      <c r="F368" s="20"/>
    </row>
    <row r="369" spans="2:6" x14ac:dyDescent="0.25">
      <c r="B369"/>
      <c r="D369"/>
      <c r="E369" s="20"/>
      <c r="F369" s="20"/>
    </row>
    <row r="370" spans="2:6" x14ac:dyDescent="0.25">
      <c r="B370"/>
      <c r="D370"/>
      <c r="E370" s="20"/>
      <c r="F370" s="20"/>
    </row>
    <row r="371" spans="2:6" x14ac:dyDescent="0.25">
      <c r="B371"/>
      <c r="D371"/>
      <c r="E371" s="20"/>
      <c r="F371" s="20"/>
    </row>
    <row r="372" spans="2:6" x14ac:dyDescent="0.25">
      <c r="B372"/>
      <c r="D372"/>
      <c r="E372" s="20"/>
      <c r="F372" s="20"/>
    </row>
    <row r="373" spans="2:6" x14ac:dyDescent="0.25">
      <c r="B373"/>
      <c r="D373"/>
      <c r="E373" s="20"/>
      <c r="F373" s="20"/>
    </row>
    <row r="374" spans="2:6" x14ac:dyDescent="0.25">
      <c r="B374"/>
      <c r="D374"/>
      <c r="E374" s="20"/>
      <c r="F374" s="20"/>
    </row>
    <row r="375" spans="2:6" x14ac:dyDescent="0.25">
      <c r="B375"/>
      <c r="D375"/>
      <c r="E375" s="20"/>
      <c r="F375" s="20"/>
    </row>
    <row r="376" spans="2:6" x14ac:dyDescent="0.25">
      <c r="B376"/>
      <c r="D376"/>
      <c r="E376" s="20"/>
      <c r="F376" s="20"/>
    </row>
    <row r="377" spans="2:6" x14ac:dyDescent="0.25">
      <c r="B377"/>
      <c r="D377"/>
      <c r="E377" s="20"/>
      <c r="F377" s="20"/>
    </row>
    <row r="378" spans="2:6" x14ac:dyDescent="0.25">
      <c r="B378"/>
      <c r="D378"/>
      <c r="E378" s="20"/>
      <c r="F378" s="20"/>
    </row>
    <row r="379" spans="2:6" x14ac:dyDescent="0.25">
      <c r="B379"/>
      <c r="D379"/>
      <c r="E379" s="20"/>
      <c r="F379" s="20"/>
    </row>
    <row r="380" spans="2:6" x14ac:dyDescent="0.25">
      <c r="B380"/>
      <c r="D380"/>
      <c r="E380" s="20"/>
      <c r="F380" s="20"/>
    </row>
    <row r="381" spans="2:6" x14ac:dyDescent="0.25">
      <c r="B381"/>
      <c r="D381"/>
      <c r="E381" s="20"/>
      <c r="F381" s="20"/>
    </row>
    <row r="382" spans="2:6" x14ac:dyDescent="0.25">
      <c r="B382"/>
      <c r="D382"/>
      <c r="E382" s="20"/>
      <c r="F382" s="20"/>
    </row>
    <row r="383" spans="2:6" x14ac:dyDescent="0.25">
      <c r="B383"/>
      <c r="D383"/>
      <c r="E383" s="20"/>
      <c r="F383" s="20"/>
    </row>
    <row r="384" spans="2:6" x14ac:dyDescent="0.25">
      <c r="B384"/>
      <c r="D384"/>
      <c r="E384" s="20"/>
      <c r="F384" s="20"/>
    </row>
    <row r="385" spans="2:6" x14ac:dyDescent="0.25">
      <c r="B385"/>
      <c r="D385"/>
      <c r="E385" s="20"/>
      <c r="F385" s="20"/>
    </row>
    <row r="386" spans="2:6" x14ac:dyDescent="0.25">
      <c r="B386"/>
      <c r="D386"/>
      <c r="E386" s="20"/>
      <c r="F386" s="20"/>
    </row>
    <row r="387" spans="2:6" x14ac:dyDescent="0.25">
      <c r="B387"/>
      <c r="D387"/>
      <c r="E387" s="20"/>
      <c r="F387" s="20"/>
    </row>
    <row r="388" spans="2:6" x14ac:dyDescent="0.25">
      <c r="B388"/>
      <c r="D388"/>
      <c r="E388" s="20"/>
      <c r="F388" s="20"/>
    </row>
    <row r="389" spans="2:6" x14ac:dyDescent="0.25">
      <c r="B389"/>
      <c r="D389"/>
      <c r="E389" s="20"/>
      <c r="F389" s="20"/>
    </row>
    <row r="390" spans="2:6" x14ac:dyDescent="0.25">
      <c r="B390"/>
      <c r="D390"/>
      <c r="E390" s="20"/>
      <c r="F390" s="20"/>
    </row>
    <row r="391" spans="2:6" x14ac:dyDescent="0.25">
      <c r="B391"/>
      <c r="D391"/>
      <c r="E391" s="20"/>
      <c r="F391" s="20"/>
    </row>
    <row r="392" spans="2:6" x14ac:dyDescent="0.25">
      <c r="B392"/>
      <c r="D392"/>
      <c r="E392" s="20"/>
      <c r="F392" s="20"/>
    </row>
    <row r="393" spans="2:6" x14ac:dyDescent="0.25">
      <c r="B393"/>
      <c r="D393"/>
      <c r="E393" s="20"/>
      <c r="F393" s="20"/>
    </row>
    <row r="394" spans="2:6" x14ac:dyDescent="0.25">
      <c r="B394"/>
      <c r="D394"/>
      <c r="E394" s="20"/>
      <c r="F394" s="20"/>
    </row>
    <row r="395" spans="2:6" x14ac:dyDescent="0.25">
      <c r="B395"/>
      <c r="D395"/>
      <c r="E395" s="20"/>
      <c r="F395" s="20"/>
    </row>
    <row r="396" spans="2:6" x14ac:dyDescent="0.25">
      <c r="B396"/>
      <c r="D396"/>
      <c r="E396" s="20"/>
      <c r="F396" s="20"/>
    </row>
    <row r="397" spans="2:6" x14ac:dyDescent="0.25">
      <c r="B397"/>
      <c r="D397"/>
      <c r="E397" s="20"/>
      <c r="F397" s="20"/>
    </row>
    <row r="398" spans="2:6" x14ac:dyDescent="0.25">
      <c r="B398"/>
      <c r="D398"/>
      <c r="E398" s="20"/>
      <c r="F398" s="20"/>
    </row>
    <row r="399" spans="2:6" x14ac:dyDescent="0.25">
      <c r="B399"/>
      <c r="D399"/>
      <c r="E399" s="20"/>
      <c r="F399" s="20"/>
    </row>
    <row r="400" spans="2:6" x14ac:dyDescent="0.25">
      <c r="B400"/>
      <c r="D400"/>
      <c r="E400" s="20"/>
      <c r="F400" s="20"/>
    </row>
    <row r="401" spans="2:6" x14ac:dyDescent="0.25">
      <c r="B401"/>
      <c r="D401"/>
      <c r="E401" s="20"/>
      <c r="F401" s="20"/>
    </row>
    <row r="402" spans="2:6" x14ac:dyDescent="0.25">
      <c r="B402"/>
      <c r="D402"/>
      <c r="E402" s="20"/>
      <c r="F402" s="20"/>
    </row>
    <row r="403" spans="2:6" x14ac:dyDescent="0.25">
      <c r="B403"/>
      <c r="D403"/>
      <c r="E403" s="20"/>
      <c r="F403" s="20"/>
    </row>
    <row r="404" spans="2:6" x14ac:dyDescent="0.25">
      <c r="B404"/>
      <c r="D404"/>
      <c r="E404" s="20"/>
      <c r="F404" s="20"/>
    </row>
    <row r="405" spans="2:6" x14ac:dyDescent="0.25">
      <c r="B405"/>
      <c r="D405"/>
      <c r="E405" s="20"/>
      <c r="F405" s="20"/>
    </row>
    <row r="406" spans="2:6" x14ac:dyDescent="0.25">
      <c r="B406"/>
      <c r="D406"/>
      <c r="E406" s="20"/>
      <c r="F406" s="20"/>
    </row>
    <row r="407" spans="2:6" x14ac:dyDescent="0.25">
      <c r="B407"/>
      <c r="D407"/>
      <c r="E407" s="20"/>
      <c r="F407" s="20"/>
    </row>
    <row r="408" spans="2:6" x14ac:dyDescent="0.25">
      <c r="B408"/>
      <c r="D408"/>
      <c r="E408" s="20"/>
      <c r="F408" s="20"/>
    </row>
    <row r="409" spans="2:6" x14ac:dyDescent="0.25">
      <c r="B409"/>
      <c r="D409"/>
      <c r="E409" s="20"/>
      <c r="F409" s="20"/>
    </row>
    <row r="410" spans="2:6" x14ac:dyDescent="0.25">
      <c r="B410"/>
      <c r="D410"/>
      <c r="E410" s="20"/>
      <c r="F410" s="20"/>
    </row>
    <row r="411" spans="2:6" x14ac:dyDescent="0.25">
      <c r="B411"/>
      <c r="D411"/>
      <c r="E411" s="20"/>
      <c r="F411" s="20"/>
    </row>
    <row r="412" spans="2:6" x14ac:dyDescent="0.25">
      <c r="B412"/>
      <c r="D412"/>
      <c r="E412" s="20"/>
      <c r="F412" s="20"/>
    </row>
    <row r="413" spans="2:6" x14ac:dyDescent="0.25">
      <c r="B413"/>
      <c r="D413"/>
      <c r="E413" s="20"/>
      <c r="F413" s="20"/>
    </row>
    <row r="414" spans="2:6" x14ac:dyDescent="0.25">
      <c r="B414"/>
      <c r="D414"/>
      <c r="E414" s="20"/>
      <c r="F414" s="20"/>
    </row>
    <row r="415" spans="2:6" x14ac:dyDescent="0.25">
      <c r="B415"/>
      <c r="D415"/>
      <c r="E415" s="20"/>
      <c r="F415" s="20"/>
    </row>
    <row r="416" spans="2:6" x14ac:dyDescent="0.25">
      <c r="B416"/>
      <c r="D416"/>
      <c r="E416" s="20"/>
      <c r="F416" s="20"/>
    </row>
    <row r="417" spans="2:6" x14ac:dyDescent="0.25">
      <c r="B417"/>
      <c r="D417"/>
      <c r="E417" s="20"/>
      <c r="F417" s="20"/>
    </row>
    <row r="418" spans="2:6" x14ac:dyDescent="0.25">
      <c r="B418"/>
      <c r="D418"/>
      <c r="E418" s="20"/>
      <c r="F418" s="20"/>
    </row>
    <row r="419" spans="2:6" x14ac:dyDescent="0.25">
      <c r="B419"/>
      <c r="D419"/>
      <c r="E419" s="20"/>
      <c r="F419" s="20"/>
    </row>
    <row r="420" spans="2:6" x14ac:dyDescent="0.25">
      <c r="B420"/>
      <c r="D420"/>
      <c r="E420" s="20"/>
      <c r="F420" s="20"/>
    </row>
    <row r="421" spans="2:6" x14ac:dyDescent="0.25">
      <c r="B421"/>
      <c r="D421"/>
      <c r="E421" s="20"/>
      <c r="F421" s="20"/>
    </row>
    <row r="422" spans="2:6" x14ac:dyDescent="0.25">
      <c r="B422"/>
      <c r="D422"/>
      <c r="E422" s="20"/>
      <c r="F422" s="20"/>
    </row>
    <row r="423" spans="2:6" x14ac:dyDescent="0.25">
      <c r="B423"/>
      <c r="D423"/>
      <c r="E423" s="20"/>
      <c r="F423" s="20"/>
    </row>
    <row r="424" spans="2:6" x14ac:dyDescent="0.25">
      <c r="B424"/>
      <c r="D424"/>
      <c r="E424" s="20"/>
      <c r="F424" s="20"/>
    </row>
    <row r="425" spans="2:6" x14ac:dyDescent="0.25">
      <c r="B425"/>
      <c r="D425"/>
      <c r="E425" s="20"/>
      <c r="F425" s="20"/>
    </row>
    <row r="426" spans="2:6" x14ac:dyDescent="0.25">
      <c r="B426"/>
      <c r="D426"/>
      <c r="E426" s="20"/>
      <c r="F426" s="20"/>
    </row>
    <row r="427" spans="2:6" x14ac:dyDescent="0.25">
      <c r="B427"/>
      <c r="D427"/>
      <c r="E427" s="20"/>
      <c r="F427" s="20"/>
    </row>
    <row r="428" spans="2:6" x14ac:dyDescent="0.25">
      <c r="B428"/>
      <c r="D428"/>
      <c r="E428" s="20"/>
      <c r="F428" s="20"/>
    </row>
    <row r="429" spans="2:6" x14ac:dyDescent="0.25">
      <c r="B429"/>
      <c r="D429"/>
      <c r="E429" s="20"/>
      <c r="F429" s="20"/>
    </row>
    <row r="430" spans="2:6" x14ac:dyDescent="0.25">
      <c r="B430"/>
      <c r="D430"/>
      <c r="E430" s="20"/>
      <c r="F430" s="20"/>
    </row>
    <row r="431" spans="2:6" x14ac:dyDescent="0.25">
      <c r="B431"/>
      <c r="D431"/>
      <c r="E431" s="20"/>
      <c r="F431" s="20"/>
    </row>
    <row r="432" spans="2:6" x14ac:dyDescent="0.25">
      <c r="B432"/>
      <c r="D432"/>
      <c r="E432" s="20"/>
      <c r="F432" s="20"/>
    </row>
    <row r="433" spans="2:6" x14ac:dyDescent="0.25">
      <c r="B433"/>
      <c r="D433"/>
      <c r="E433" s="20"/>
      <c r="F433" s="20"/>
    </row>
    <row r="434" spans="2:6" x14ac:dyDescent="0.25">
      <c r="B434"/>
      <c r="D434"/>
      <c r="E434" s="20"/>
      <c r="F434" s="20"/>
    </row>
    <row r="435" spans="2:6" x14ac:dyDescent="0.25">
      <c r="B435"/>
      <c r="D435"/>
      <c r="E435" s="20"/>
      <c r="F435" s="20"/>
    </row>
    <row r="436" spans="2:6" x14ac:dyDescent="0.25">
      <c r="B436"/>
      <c r="D436"/>
      <c r="E436" s="20"/>
      <c r="F436" s="20"/>
    </row>
    <row r="437" spans="2:6" x14ac:dyDescent="0.25">
      <c r="B437"/>
      <c r="D437"/>
      <c r="E437" s="20"/>
      <c r="F437" s="20"/>
    </row>
    <row r="438" spans="2:6" x14ac:dyDescent="0.25">
      <c r="B438"/>
      <c r="D438"/>
      <c r="E438" s="20"/>
      <c r="F438" s="20"/>
    </row>
    <row r="439" spans="2:6" x14ac:dyDescent="0.25">
      <c r="B439"/>
      <c r="D439"/>
      <c r="E439" s="20"/>
      <c r="F439" s="20"/>
    </row>
    <row r="440" spans="2:6" x14ac:dyDescent="0.25">
      <c r="B440"/>
      <c r="D440"/>
      <c r="E440" s="20"/>
      <c r="F440" s="20"/>
    </row>
    <row r="441" spans="2:6" x14ac:dyDescent="0.25">
      <c r="B441"/>
      <c r="D441"/>
      <c r="E441" s="20"/>
      <c r="F441" s="20"/>
    </row>
    <row r="442" spans="2:6" x14ac:dyDescent="0.25">
      <c r="B442"/>
      <c r="D442"/>
      <c r="E442" s="20"/>
      <c r="F442" s="20"/>
    </row>
    <row r="443" spans="2:6" x14ac:dyDescent="0.25">
      <c r="B443"/>
      <c r="D443"/>
      <c r="E443" s="20"/>
      <c r="F443" s="20"/>
    </row>
    <row r="444" spans="2:6" x14ac:dyDescent="0.25">
      <c r="B444"/>
      <c r="D444"/>
      <c r="E444" s="20"/>
      <c r="F444" s="20"/>
    </row>
    <row r="445" spans="2:6" x14ac:dyDescent="0.25">
      <c r="B445"/>
      <c r="D445"/>
      <c r="E445" s="20"/>
      <c r="F445" s="20"/>
    </row>
    <row r="446" spans="2:6" x14ac:dyDescent="0.25">
      <c r="B446"/>
      <c r="D446"/>
      <c r="E446" s="20"/>
      <c r="F446" s="20"/>
    </row>
    <row r="447" spans="2:6" x14ac:dyDescent="0.25">
      <c r="B447"/>
      <c r="D447"/>
      <c r="E447" s="20"/>
      <c r="F447" s="20"/>
    </row>
    <row r="448" spans="2:6" x14ac:dyDescent="0.25">
      <c r="B448"/>
      <c r="D448"/>
      <c r="E448" s="20"/>
      <c r="F448" s="20"/>
    </row>
    <row r="449" spans="2:6" x14ac:dyDescent="0.25">
      <c r="B449"/>
      <c r="D449"/>
      <c r="E449" s="20"/>
      <c r="F449" s="20"/>
    </row>
    <row r="450" spans="2:6" x14ac:dyDescent="0.25">
      <c r="B450"/>
      <c r="D450"/>
      <c r="E450" s="20"/>
      <c r="F450" s="20"/>
    </row>
    <row r="451" spans="2:6" x14ac:dyDescent="0.25">
      <c r="B451"/>
      <c r="D451"/>
      <c r="E451" s="20"/>
      <c r="F451" s="20"/>
    </row>
    <row r="452" spans="2:6" x14ac:dyDescent="0.25">
      <c r="B452"/>
      <c r="D452"/>
      <c r="E452" s="20"/>
      <c r="F452" s="20"/>
    </row>
    <row r="453" spans="2:6" x14ac:dyDescent="0.25">
      <c r="B453"/>
      <c r="D453"/>
      <c r="E453" s="20"/>
      <c r="F453" s="20"/>
    </row>
    <row r="454" spans="2:6" x14ac:dyDescent="0.25">
      <c r="B454"/>
      <c r="D454"/>
      <c r="E454" s="20"/>
      <c r="F454" s="20"/>
    </row>
    <row r="455" spans="2:6" x14ac:dyDescent="0.25">
      <c r="B455"/>
      <c r="D455"/>
      <c r="E455" s="20"/>
      <c r="F455" s="20"/>
    </row>
    <row r="456" spans="2:6" x14ac:dyDescent="0.25">
      <c r="B456"/>
      <c r="D456"/>
      <c r="E456" s="20"/>
      <c r="F456" s="20"/>
    </row>
    <row r="457" spans="2:6" x14ac:dyDescent="0.25">
      <c r="B457"/>
      <c r="D457"/>
      <c r="E457" s="20"/>
      <c r="F457" s="20"/>
    </row>
    <row r="458" spans="2:6" x14ac:dyDescent="0.25">
      <c r="B458"/>
      <c r="D458"/>
      <c r="E458" s="20"/>
      <c r="F458" s="20"/>
    </row>
    <row r="459" spans="2:6" x14ac:dyDescent="0.25">
      <c r="B459"/>
      <c r="D459"/>
      <c r="E459" s="20"/>
      <c r="F459" s="20"/>
    </row>
    <row r="460" spans="2:6" x14ac:dyDescent="0.25">
      <c r="B460"/>
      <c r="D460"/>
      <c r="E460" s="20"/>
      <c r="F460" s="20"/>
    </row>
    <row r="461" spans="2:6" x14ac:dyDescent="0.25">
      <c r="B461"/>
      <c r="D461"/>
      <c r="E461" s="20"/>
      <c r="F461" s="20"/>
    </row>
    <row r="462" spans="2:6" x14ac:dyDescent="0.25">
      <c r="B462"/>
      <c r="D462"/>
      <c r="E462" s="20"/>
      <c r="F462" s="20"/>
    </row>
    <row r="463" spans="2:6" x14ac:dyDescent="0.25">
      <c r="B463"/>
      <c r="D463"/>
      <c r="E463" s="20"/>
      <c r="F463" s="20"/>
    </row>
    <row r="464" spans="2:6" x14ac:dyDescent="0.25">
      <c r="B464"/>
      <c r="D464"/>
      <c r="E464" s="20"/>
      <c r="F464" s="20"/>
    </row>
    <row r="465" spans="2:6" x14ac:dyDescent="0.25">
      <c r="B465"/>
      <c r="D465"/>
      <c r="E465" s="20"/>
      <c r="F465" s="20"/>
    </row>
    <row r="466" spans="2:6" x14ac:dyDescent="0.25">
      <c r="B466"/>
      <c r="D466"/>
      <c r="E466" s="20"/>
      <c r="F466" s="20"/>
    </row>
    <row r="467" spans="2:6" x14ac:dyDescent="0.25">
      <c r="B467"/>
      <c r="D467"/>
      <c r="E467" s="20"/>
      <c r="F467" s="20"/>
    </row>
    <row r="468" spans="2:6" x14ac:dyDescent="0.25">
      <c r="B468"/>
      <c r="D468"/>
      <c r="E468" s="20"/>
      <c r="F468" s="20"/>
    </row>
    <row r="469" spans="2:6" x14ac:dyDescent="0.25">
      <c r="B469"/>
      <c r="D469"/>
      <c r="E469" s="20"/>
      <c r="F469" s="20"/>
    </row>
    <row r="470" spans="2:6" x14ac:dyDescent="0.25">
      <c r="B470"/>
      <c r="D470"/>
      <c r="E470" s="20"/>
      <c r="F470" s="20"/>
    </row>
    <row r="471" spans="2:6" x14ac:dyDescent="0.25">
      <c r="B471"/>
      <c r="D471"/>
      <c r="E471" s="20"/>
      <c r="F471" s="20"/>
    </row>
    <row r="472" spans="2:6" x14ac:dyDescent="0.25">
      <c r="B472"/>
      <c r="D472"/>
      <c r="E472" s="20"/>
      <c r="F472" s="20"/>
    </row>
    <row r="473" spans="2:6" x14ac:dyDescent="0.25">
      <c r="B473"/>
      <c r="D473"/>
      <c r="E473" s="20"/>
      <c r="F473" s="20"/>
    </row>
    <row r="474" spans="2:6" x14ac:dyDescent="0.25">
      <c r="B474"/>
      <c r="D474"/>
      <c r="E474" s="20"/>
      <c r="F474" s="20"/>
    </row>
    <row r="475" spans="2:6" x14ac:dyDescent="0.25">
      <c r="B475"/>
      <c r="D475"/>
      <c r="E475" s="20"/>
      <c r="F475" s="20"/>
    </row>
    <row r="476" spans="2:6" x14ac:dyDescent="0.25">
      <c r="B476"/>
      <c r="D476"/>
      <c r="E476" s="20"/>
      <c r="F476" s="20"/>
    </row>
    <row r="477" spans="2:6" x14ac:dyDescent="0.25">
      <c r="B477"/>
      <c r="D477"/>
      <c r="E477" s="20"/>
      <c r="F477" s="20"/>
    </row>
    <row r="478" spans="2:6" x14ac:dyDescent="0.25">
      <c r="B478"/>
      <c r="D478"/>
      <c r="E478" s="20"/>
      <c r="F478" s="20"/>
    </row>
    <row r="479" spans="2:6" x14ac:dyDescent="0.25">
      <c r="B479"/>
      <c r="D479"/>
      <c r="E479" s="20"/>
      <c r="F479" s="20"/>
    </row>
    <row r="480" spans="2:6" x14ac:dyDescent="0.25">
      <c r="B480"/>
      <c r="D480"/>
      <c r="E480" s="20"/>
      <c r="F480" s="20"/>
    </row>
    <row r="481" spans="2:6" x14ac:dyDescent="0.25">
      <c r="B481"/>
      <c r="D481"/>
      <c r="E481" s="20"/>
      <c r="F481" s="20"/>
    </row>
    <row r="482" spans="2:6" x14ac:dyDescent="0.25">
      <c r="B482"/>
      <c r="D482"/>
      <c r="E482" s="20"/>
      <c r="F482" s="20"/>
    </row>
    <row r="483" spans="2:6" x14ac:dyDescent="0.25">
      <c r="B483"/>
      <c r="D483"/>
      <c r="E483" s="20"/>
      <c r="F483" s="20"/>
    </row>
    <row r="484" spans="2:6" x14ac:dyDescent="0.25">
      <c r="B484"/>
      <c r="D484"/>
      <c r="E484" s="20"/>
      <c r="F484" s="20"/>
    </row>
    <row r="485" spans="2:6" x14ac:dyDescent="0.25">
      <c r="B485"/>
      <c r="D485"/>
      <c r="E485" s="20"/>
      <c r="F485" s="20"/>
    </row>
    <row r="486" spans="2:6" x14ac:dyDescent="0.25">
      <c r="B486"/>
      <c r="D486"/>
      <c r="E486" s="20"/>
      <c r="F486" s="20"/>
    </row>
    <row r="487" spans="2:6" x14ac:dyDescent="0.25">
      <c r="B487"/>
      <c r="D487"/>
      <c r="E487" s="20"/>
      <c r="F487" s="20"/>
    </row>
    <row r="488" spans="2:6" x14ac:dyDescent="0.25">
      <c r="B488"/>
      <c r="D488"/>
      <c r="E488" s="20"/>
      <c r="F488" s="20"/>
    </row>
    <row r="489" spans="2:6" x14ac:dyDescent="0.25">
      <c r="B489"/>
      <c r="D489"/>
      <c r="E489" s="20"/>
      <c r="F489" s="20"/>
    </row>
    <row r="490" spans="2:6" x14ac:dyDescent="0.25">
      <c r="B490"/>
      <c r="D490"/>
      <c r="E490" s="20"/>
      <c r="F490" s="20"/>
    </row>
    <row r="491" spans="2:6" x14ac:dyDescent="0.25">
      <c r="B491"/>
      <c r="D491"/>
      <c r="E491" s="20"/>
      <c r="F491" s="20"/>
    </row>
    <row r="492" spans="2:6" x14ac:dyDescent="0.25">
      <c r="B492"/>
      <c r="D492"/>
      <c r="E492" s="20"/>
      <c r="F492" s="20"/>
    </row>
    <row r="493" spans="2:6" x14ac:dyDescent="0.25">
      <c r="B493"/>
      <c r="D493"/>
      <c r="E493" s="20"/>
      <c r="F493" s="20"/>
    </row>
    <row r="494" spans="2:6" x14ac:dyDescent="0.25">
      <c r="B494"/>
      <c r="D494"/>
      <c r="E494" s="20"/>
      <c r="F494" s="20"/>
    </row>
    <row r="495" spans="2:6" x14ac:dyDescent="0.25">
      <c r="B495"/>
      <c r="D495"/>
      <c r="E495" s="20"/>
      <c r="F495" s="20"/>
    </row>
    <row r="496" spans="2:6" x14ac:dyDescent="0.25">
      <c r="B496"/>
      <c r="D496"/>
      <c r="E496" s="20"/>
      <c r="F496" s="20"/>
    </row>
    <row r="497" spans="2:6" x14ac:dyDescent="0.25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topLeftCell="A33" zoomScale="115" zoomScaleNormal="115" workbookViewId="0">
      <selection activeCell="N34" sqref="N34"/>
    </sheetView>
  </sheetViews>
  <sheetFormatPr baseColWidth="10" defaultColWidth="11.44140625" defaultRowHeight="13.8" x14ac:dyDescent="0.3"/>
  <cols>
    <col min="1" max="1" width="5.5546875" style="230" customWidth="1"/>
    <col min="2" max="2" width="7" style="230" customWidth="1"/>
    <col min="3" max="3" width="9" style="230" customWidth="1"/>
    <col min="4" max="4" width="11.44140625" style="230"/>
    <col min="5" max="5" width="9.5546875" style="230" customWidth="1"/>
    <col min="6" max="6" width="9.88671875" style="230" bestFit="1" customWidth="1"/>
    <col min="7" max="7" width="8.109375" style="230" customWidth="1"/>
    <col min="8" max="8" width="11.44140625" style="230"/>
    <col min="9" max="9" width="7.33203125" style="230" bestFit="1" customWidth="1"/>
    <col min="10" max="10" width="12.33203125" style="230" bestFit="1" customWidth="1"/>
    <col min="11" max="11" width="8.88671875" style="230" customWidth="1"/>
    <col min="12" max="12" width="10.109375" style="230" customWidth="1"/>
    <col min="13" max="13" width="4.44140625" style="230" customWidth="1"/>
    <col min="14" max="14" width="12.44140625" style="230" bestFit="1" customWidth="1"/>
    <col min="15" max="15" width="11.44140625" style="230"/>
    <col min="16" max="16" width="13.5546875" style="230" customWidth="1"/>
    <col min="17" max="16384" width="11.44140625" style="230"/>
  </cols>
  <sheetData>
    <row r="2" spans="1:15" ht="20.25" customHeight="1" x14ac:dyDescent="0.35">
      <c r="B2" s="315" t="s">
        <v>67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31"/>
    </row>
    <row r="3" spans="1:15" ht="15.75" customHeight="1" x14ac:dyDescent="0.3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5" x14ac:dyDescent="0.3">
      <c r="N4" s="230" t="s">
        <v>49</v>
      </c>
    </row>
    <row r="5" spans="1:15" x14ac:dyDescent="0.3">
      <c r="N5" s="233"/>
      <c r="O5" s="233"/>
    </row>
    <row r="17" spans="3:14" x14ac:dyDescent="0.3">
      <c r="N17" s="230" t="s">
        <v>57</v>
      </c>
    </row>
    <row r="31" spans="3:14" ht="18" customHeight="1" x14ac:dyDescent="0.3"/>
    <row r="32" spans="3:14" ht="15.6" x14ac:dyDescent="0.3">
      <c r="C32" s="234" t="s">
        <v>48</v>
      </c>
    </row>
    <row r="33" spans="2:13" ht="16.5" customHeight="1" x14ac:dyDescent="0.3">
      <c r="C33" s="234" t="s">
        <v>66</v>
      </c>
    </row>
    <row r="34" spans="2:13" ht="57" customHeight="1" x14ac:dyDescent="0.3">
      <c r="C34" s="316" t="s">
        <v>68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ht="3.75" customHeight="1" x14ac:dyDescent="0.3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3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3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3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3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3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3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3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3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3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3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3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3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3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3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99999999999999" hidden="1" customHeight="1" x14ac:dyDescent="0.3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99999999999999" customHeight="1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3">
      <c r="N53" s="238"/>
    </row>
    <row r="67" spans="3:14" x14ac:dyDescent="0.3">
      <c r="N67" s="233"/>
    </row>
    <row r="78" spans="3:14" ht="15.6" x14ac:dyDescent="0.3">
      <c r="C78" s="234" t="s">
        <v>61</v>
      </c>
    </row>
    <row r="79" spans="3:14" ht="48.75" customHeight="1" x14ac:dyDescent="0.3">
      <c r="C79" s="311" t="s">
        <v>69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11"/>
    </row>
    <row r="80" spans="3:14" ht="9" customHeight="1" x14ac:dyDescent="0.3"/>
    <row r="81" spans="1:15" ht="44.25" customHeight="1" x14ac:dyDescent="0.3">
      <c r="M81" s="239"/>
      <c r="O81" s="240"/>
    </row>
    <row r="82" spans="1:15" ht="46.5" customHeight="1" x14ac:dyDescent="0.3">
      <c r="B82" s="313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239"/>
      <c r="O82" s="240"/>
    </row>
    <row r="83" spans="1:15" ht="4.5" customHeight="1" x14ac:dyDescent="0.3">
      <c r="A83" s="235"/>
      <c r="B83" s="312" t="s">
        <v>57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239"/>
    </row>
    <row r="84" spans="1:15" ht="15" customHeight="1" x14ac:dyDescent="0.3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3">
      <c r="N87" s="240"/>
      <c r="O87" s="241"/>
    </row>
    <row r="110" spans="2:2" x14ac:dyDescent="0.3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2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2020-06-03T04:33:25Z</cp:lastPrinted>
  <dcterms:created xsi:type="dcterms:W3CDTF">1997-07-01T22:48:52Z</dcterms:created>
  <dcterms:modified xsi:type="dcterms:W3CDTF">2021-08-11T15:43:58Z</dcterms:modified>
</cp:coreProperties>
</file>